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20" activeTab="0"/>
  </bookViews>
  <sheets>
    <sheet name="BAREME IK - revenus de 2022" sheetId="1" r:id="rId1"/>
  </sheets>
  <definedNames>
    <definedName name="_xlfn.XLOOKUP" hidden="1">#NAME?</definedName>
  </definedNames>
  <calcPr fullCalcOnLoad="1"/>
</workbook>
</file>

<file path=xl/comments1.xml><?xml version="1.0" encoding="utf-8"?>
<comments xmlns="http://schemas.openxmlformats.org/spreadsheetml/2006/main">
  <authors>
    <author>SD</author>
  </authors>
  <commentList>
    <comment ref="D1" authorId="0">
      <text>
        <r>
          <rPr>
            <b/>
            <sz val="8"/>
            <color indexed="9"/>
            <rFont val="Tahoma"/>
            <family val="2"/>
          </rPr>
          <t>Cet outil de simulation est diffusé à destination des abonnés à la documentation BNCplus, publiée par l'Amapl. 
Il est mis en ligne sous réserve des commentaires de l'Administration. Des modifications pourront y être être apportées en fonction des textes postérieurs, des évolutions doctrinales.
Si, malgré le soin que nous avons apporté à la réalisation de l'outil, vous constatiez une anomalie, nous vous remercions donc de nous en faire part afin que nous procédions aux corrections nécessaires.
Aussi, nous vous recommandons de bien vous assurer, en consultant votre espace docuimentaire sur BNCplus, que la version que vous utilisez est bien la dernière version de l'outil.</t>
        </r>
      </text>
    </comment>
  </commentList>
</comments>
</file>

<file path=xl/sharedStrings.xml><?xml version="1.0" encoding="utf-8"?>
<sst xmlns="http://schemas.openxmlformats.org/spreadsheetml/2006/main" count="37" uniqueCount="30">
  <si>
    <t xml:space="preserve">Puissance administrative </t>
  </si>
  <si>
    <t xml:space="preserve"> </t>
  </si>
  <si>
    <t xml:space="preserve">4 CV </t>
  </si>
  <si>
    <t xml:space="preserve">5 CV </t>
  </si>
  <si>
    <t xml:space="preserve">6 CV </t>
  </si>
  <si>
    <t>3 CV</t>
  </si>
  <si>
    <t>Nombre de kms parcourus</t>
  </si>
  <si>
    <t>Indemnités déductibles</t>
  </si>
  <si>
    <t>Nombre de CV du véhicule</t>
  </si>
  <si>
    <t>Automobiles</t>
  </si>
  <si>
    <t xml:space="preserve">﻿Puissance administrative </t>
  </si>
  <si>
    <t xml:space="preserve">Jusqu’à 3 000 km </t>
  </si>
  <si>
    <t xml:space="preserve">De 3 001 à 6 000 km </t>
  </si>
  <si>
    <t xml:space="preserve">Au-delà de 6 000 km </t>
  </si>
  <si>
    <t>1 ou 2 CV</t>
  </si>
  <si>
    <t>3, 4 ou 5 CV</t>
  </si>
  <si>
    <t>Type ou nombre de CV</t>
  </si>
  <si>
    <t>Cyclomoteurs*, vélomoteurs, scooters, motocyclettes</t>
  </si>
  <si>
    <t xml:space="preserve">*  C’est-à-dire, pour les deux-roues, un véhicule dont la vitesse maximale par construction ne dépasse pas 45 km/h et équipé d’un moteur d’une cylindrée ne dépassant pas 50 cm³ s’il est à combustion interne, ou d’une puissance maximale nette n’excédant pas 4 kw pour les autres types de moteur. Il peut s’agir, selon les dénominations commerciales, de scooters, de vélomoteurs… 
</t>
  </si>
  <si>
    <t>Cyclomoteur*</t>
  </si>
  <si>
    <t>7 CV et plus</t>
  </si>
  <si>
    <t>Jusqu'à 5 000 km</t>
  </si>
  <si>
    <t>De 5001 à 20 000 km</t>
  </si>
  <si>
    <t>Au delà de 20 000 km</t>
  </si>
  <si>
    <t>6 CV et plus</t>
  </si>
  <si>
    <t>NB : Lorsque vous avez utilisé plusieurs véhicules au cours de l’année, le barème doit être appliqué de façon séparée à chacun des véhicules, en fonction de chaque puissance fiscale et du kilométrage parcouru par chaque véhicule dans l'année. Il n'y a pas lieu de procéder à la globalisation des kilomètres parcourus par l'ensemble des véhicules pour déterminer les frais d'utilisation correspondants, même si la puissance fiscale des véhicules utilisés est identique.</t>
  </si>
  <si>
    <t>Véhicule électrique</t>
  </si>
  <si>
    <t>Avertissement</t>
  </si>
  <si>
    <t>Arrêté du 27 mars 2023, JO 07/04/2023</t>
  </si>
  <si>
    <t>V. 2022.1 - Date de mise à jour : 07/04/2023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</si>
</sst>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
    <numFmt numFmtId="167" formatCode="&quot;Vrai&quot;;&quot;Vrai&quot;;&quot;Faux&quot;"/>
    <numFmt numFmtId="168" formatCode="&quot;Actif&quot;;&quot;Actif&quot;;&quot;Inactif&quot;"/>
    <numFmt numFmtId="169" formatCode="[$€-2]\ #,##0.00_);[Red]\([$€-2]\ #,##0.00\)"/>
  </numFmts>
  <fonts count="69">
    <font>
      <sz val="10"/>
      <name val="Arial"/>
      <family val="0"/>
    </font>
    <font>
      <b/>
      <sz val="10"/>
      <name val="Arial"/>
      <family val="2"/>
    </font>
    <font>
      <sz val="8"/>
      <color indexed="55"/>
      <name val="Arial"/>
      <family val="2"/>
    </font>
    <font>
      <sz val="10"/>
      <color indexed="21"/>
      <name val="Arial"/>
      <family val="2"/>
    </font>
    <font>
      <sz val="11"/>
      <name val="Calibri"/>
      <family val="2"/>
    </font>
    <font>
      <sz val="8"/>
      <name val="Segoe UI"/>
      <family val="2"/>
    </font>
    <font>
      <b/>
      <sz val="10"/>
      <color indexed="9"/>
      <name val="Arial"/>
      <family val="2"/>
    </font>
    <font>
      <b/>
      <sz val="8"/>
      <color indexed="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8"/>
      <color indexed="12"/>
      <name val="Arial"/>
      <family val="2"/>
    </font>
    <font>
      <b/>
      <sz val="10"/>
      <color indexed="56"/>
      <name val="Arial"/>
      <family val="2"/>
    </font>
    <font>
      <sz val="10"/>
      <color indexed="56"/>
      <name val="Arial"/>
      <family val="2"/>
    </font>
    <font>
      <sz val="11"/>
      <color indexed="8"/>
      <name val="Arial"/>
      <family val="2"/>
    </font>
    <font>
      <sz val="8"/>
      <color indexed="49"/>
      <name val="Arial"/>
      <family val="2"/>
    </font>
    <font>
      <b/>
      <sz val="16"/>
      <color indexed="9"/>
      <name val="Arial Baltic"/>
      <family val="2"/>
    </font>
    <font>
      <b/>
      <sz val="12"/>
      <color indexed="9"/>
      <name val="Arial Baltic"/>
      <family val="2"/>
    </font>
    <font>
      <b/>
      <sz val="18"/>
      <color indexed="63"/>
      <name val="Trebuchet MS"/>
      <family val="2"/>
    </font>
    <font>
      <b/>
      <sz val="9"/>
      <color indexed="63"/>
      <name val="Trebuchet MS"/>
      <family val="2"/>
    </font>
    <font>
      <sz val="8"/>
      <color indexed="63"/>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8"/>
      <color theme="10"/>
      <name val="Arial"/>
      <family val="2"/>
    </font>
    <font>
      <b/>
      <sz val="10"/>
      <color theme="3" tint="-0.4999699890613556"/>
      <name val="Arial"/>
      <family val="2"/>
    </font>
    <font>
      <sz val="10"/>
      <color theme="3" tint="-0.4999699890613556"/>
      <name val="Arial"/>
      <family val="2"/>
    </font>
    <font>
      <sz val="11"/>
      <color theme="1"/>
      <name val="Arial"/>
      <family val="2"/>
    </font>
    <font>
      <sz val="8"/>
      <color theme="8" tint="-0.24997000396251678"/>
      <name val="Arial"/>
      <family val="2"/>
    </font>
    <font>
      <b/>
      <sz val="16"/>
      <color theme="0"/>
      <name val="Arial Baltic"/>
      <family val="2"/>
    </font>
    <font>
      <b/>
      <sz val="12"/>
      <color theme="0"/>
      <name val="Arial Baltic"/>
      <family val="2"/>
    </font>
    <font>
      <b/>
      <sz val="18"/>
      <color theme="1" tint="0.15000000596046448"/>
      <name val="Trebuchet MS"/>
      <family val="2"/>
    </font>
    <font>
      <b/>
      <sz val="9"/>
      <color theme="1" tint="0.15000000596046448"/>
      <name val="Trebuchet MS"/>
      <family val="2"/>
    </font>
    <font>
      <sz val="8"/>
      <color theme="1" tint="0.15000000596046448"/>
      <name val="Arial"/>
      <family val="2"/>
    </font>
    <font>
      <sz val="8"/>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29"/>
        <bgColor indexed="64"/>
      </patternFill>
    </fill>
    <fill>
      <patternFill patternType="solid">
        <fgColor theme="4"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color indexed="22"/>
      </left>
      <right style="double">
        <color indexed="22"/>
      </right>
      <top style="double">
        <color indexed="22"/>
      </top>
      <bottom style="double">
        <color indexed="22"/>
      </bottom>
    </border>
    <border>
      <left>
        <color indexed="63"/>
      </left>
      <right style="medium">
        <color rgb="FFCCCCCC"/>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37">
    <xf numFmtId="0" fontId="0" fillId="0" borderId="0" xfId="0" applyAlignment="1">
      <alignment/>
    </xf>
    <xf numFmtId="0" fontId="0" fillId="33" borderId="0" xfId="0" applyFill="1" applyAlignment="1">
      <alignment/>
    </xf>
    <xf numFmtId="166" fontId="1" fillId="33" borderId="10" xfId="0" applyNumberFormat="1" applyFont="1" applyFill="1" applyBorder="1" applyAlignment="1">
      <alignment horizontal="center"/>
    </xf>
    <xf numFmtId="0" fontId="0" fillId="33" borderId="0" xfId="0" applyFill="1" applyBorder="1" applyAlignment="1">
      <alignment/>
    </xf>
    <xf numFmtId="0" fontId="2" fillId="33" borderId="0" xfId="0" applyFont="1" applyFill="1" applyAlignment="1">
      <alignment horizontal="left" wrapText="1"/>
    </xf>
    <xf numFmtId="0" fontId="3" fillId="33" borderId="0" xfId="0" applyFont="1" applyFill="1" applyAlignment="1">
      <alignment/>
    </xf>
    <xf numFmtId="0" fontId="4" fillId="0" borderId="0" xfId="0" applyNumberFormat="1" applyFont="1" applyFill="1" applyBorder="1" applyAlignment="1" applyProtection="1">
      <alignment/>
      <protection/>
    </xf>
    <xf numFmtId="0" fontId="1" fillId="33" borderId="10" xfId="0" applyFont="1" applyFill="1" applyBorder="1" applyAlignment="1" applyProtection="1">
      <alignment horizontal="center"/>
      <protection locked="0"/>
    </xf>
    <xf numFmtId="0" fontId="57" fillId="33" borderId="0" xfId="44" applyFont="1" applyFill="1" applyAlignment="1" applyProtection="1">
      <alignment horizontal="center" vertical="center"/>
      <protection/>
    </xf>
    <xf numFmtId="0" fontId="38" fillId="0" borderId="0" xfId="55">
      <alignment/>
      <protection/>
    </xf>
    <xf numFmtId="0" fontId="0" fillId="34" borderId="0" xfId="0" applyFill="1" applyAlignment="1">
      <alignment/>
    </xf>
    <xf numFmtId="0" fontId="58" fillId="34" borderId="0" xfId="0" applyFont="1" applyFill="1" applyAlignment="1">
      <alignment horizontal="center"/>
    </xf>
    <xf numFmtId="0" fontId="1" fillId="34" borderId="0" xfId="0" applyFont="1" applyFill="1" applyAlignment="1">
      <alignment horizontal="center"/>
    </xf>
    <xf numFmtId="0" fontId="0" fillId="34" borderId="0" xfId="0" applyFont="1" applyFill="1" applyAlignment="1">
      <alignment/>
    </xf>
    <xf numFmtId="0" fontId="59" fillId="34" borderId="0" xfId="0" applyFont="1" applyFill="1" applyAlignment="1">
      <alignment/>
    </xf>
    <xf numFmtId="0" fontId="0" fillId="34" borderId="0" xfId="0" applyFont="1" applyFill="1" applyAlignment="1">
      <alignment/>
    </xf>
    <xf numFmtId="0" fontId="0" fillId="34" borderId="0" xfId="0" applyFill="1" applyBorder="1" applyAlignment="1">
      <alignment/>
    </xf>
    <xf numFmtId="166" fontId="1" fillId="35" borderId="10" xfId="0" applyNumberFormat="1" applyFont="1" applyFill="1" applyBorder="1" applyAlignment="1" applyProtection="1">
      <alignment horizontal="center"/>
      <protection locked="0"/>
    </xf>
    <xf numFmtId="166" fontId="1" fillId="35" borderId="10" xfId="0" applyNumberFormat="1" applyFont="1" applyFill="1" applyBorder="1" applyAlignment="1">
      <alignment horizontal="center"/>
    </xf>
    <xf numFmtId="0" fontId="0" fillId="33" borderId="0" xfId="0" applyFont="1" applyFill="1" applyAlignment="1">
      <alignment/>
    </xf>
    <xf numFmtId="0" fontId="60" fillId="0" borderId="0" xfId="0" applyFont="1" applyAlignment="1">
      <alignment vertical="center" wrapText="1"/>
    </xf>
    <xf numFmtId="0" fontId="60" fillId="0" borderId="11" xfId="0" applyFont="1" applyBorder="1" applyAlignment="1">
      <alignment vertical="center" wrapText="1"/>
    </xf>
    <xf numFmtId="3" fontId="1" fillId="33" borderId="10" xfId="0" applyNumberFormat="1" applyFont="1" applyFill="1" applyBorder="1" applyAlignment="1" applyProtection="1">
      <alignment horizontal="center"/>
      <protection locked="0"/>
    </xf>
    <xf numFmtId="3" fontId="1" fillId="35" borderId="10" xfId="0" applyNumberFormat="1" applyFont="1" applyFill="1" applyBorder="1" applyAlignment="1" applyProtection="1">
      <alignment horizontal="center"/>
      <protection locked="0"/>
    </xf>
    <xf numFmtId="166" fontId="1" fillId="34" borderId="0" xfId="0" applyNumberFormat="1" applyFont="1" applyFill="1" applyBorder="1" applyAlignment="1">
      <alignment horizontal="center"/>
    </xf>
    <xf numFmtId="0" fontId="0" fillId="33" borderId="0" xfId="0" applyFill="1" applyBorder="1" applyAlignment="1" applyProtection="1">
      <alignment/>
      <protection locked="0"/>
    </xf>
    <xf numFmtId="0" fontId="0" fillId="33" borderId="0" xfId="0" applyFill="1" applyAlignment="1" applyProtection="1">
      <alignment/>
      <protection locked="0"/>
    </xf>
    <xf numFmtId="0" fontId="61" fillId="35" borderId="0" xfId="44" applyFont="1" applyFill="1" applyBorder="1" applyAlignment="1" applyProtection="1">
      <alignment vertical="top" wrapText="1"/>
      <protection/>
    </xf>
    <xf numFmtId="0" fontId="6" fillId="36" borderId="0" xfId="0" applyFont="1" applyFill="1" applyAlignment="1">
      <alignment horizontal="center"/>
    </xf>
    <xf numFmtId="0" fontId="62" fillId="37" borderId="0" xfId="0" applyFont="1" applyFill="1" applyAlignment="1">
      <alignment horizontal="center" vertical="center"/>
    </xf>
    <xf numFmtId="0" fontId="63" fillId="37" borderId="0" xfId="0" applyFont="1" applyFill="1" applyAlignment="1">
      <alignment horizontal="center" vertical="center" wrapText="1"/>
    </xf>
    <xf numFmtId="0" fontId="64" fillId="33" borderId="0" xfId="0" applyFont="1" applyFill="1" applyAlignment="1">
      <alignment horizontal="center" vertical="center"/>
    </xf>
    <xf numFmtId="0" fontId="65" fillId="33" borderId="0" xfId="0" applyFont="1" applyFill="1" applyAlignment="1">
      <alignment horizontal="center" vertical="center" wrapText="1"/>
    </xf>
    <xf numFmtId="0" fontId="66" fillId="33" borderId="0" xfId="0" applyFont="1" applyFill="1" applyAlignment="1">
      <alignment horizontal="left" vertical="center" wrapText="1"/>
    </xf>
    <xf numFmtId="0" fontId="66" fillId="33" borderId="0" xfId="0" applyFont="1" applyFill="1" applyAlignment="1">
      <alignment horizontal="left" vertical="top" wrapText="1"/>
    </xf>
    <xf numFmtId="0" fontId="67" fillId="34" borderId="0" xfId="0" applyFont="1" applyFill="1" applyAlignment="1">
      <alignment horizontal="left" vertical="top" wrapText="1"/>
    </xf>
    <xf numFmtId="0" fontId="67" fillId="34" borderId="0" xfId="0" applyFont="1" applyFill="1" applyAlignment="1">
      <alignment horizontal="left"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rmal 4" xfId="53"/>
    <cellStyle name="Normal 5" xfId="54"/>
    <cellStyle name="Normal 6"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bncplus.fr/" TargetMode="External" /><Relationship Id="rId3" Type="http://schemas.openxmlformats.org/officeDocument/2006/relationships/hyperlink" Target="https://www.bncplus.fr/" TargetMode="External"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hyperlink" Target="https://www.bncplus.fr/taxonomy/term/83" TargetMode="External" /><Relationship Id="rId7" Type="http://schemas.openxmlformats.org/officeDocument/2006/relationships/hyperlink" Target="https://www.bncplus.fr/taxonomy/term/8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1714500</xdr:colOff>
      <xdr:row>1</xdr:row>
      <xdr:rowOff>228600</xdr:rowOff>
    </xdr:from>
    <xdr:to>
      <xdr:col>2</xdr:col>
      <xdr:colOff>847725</xdr:colOff>
      <xdr:row>1</xdr:row>
      <xdr:rowOff>533400</xdr:rowOff>
    </xdr:to>
    <xdr:pic>
      <xdr:nvPicPr>
        <xdr:cNvPr id="1" name="Image 1">
          <a:hlinkClick r:id="rId3"/>
        </xdr:cNvPr>
        <xdr:cNvPicPr preferRelativeResize="1">
          <a:picLocks noChangeAspect="1"/>
        </xdr:cNvPicPr>
      </xdr:nvPicPr>
      <xdr:blipFill>
        <a:blip r:embed="rId1"/>
        <a:stretch>
          <a:fillRect/>
        </a:stretch>
      </xdr:blipFill>
      <xdr:spPr>
        <a:xfrm>
          <a:off x="2124075" y="400050"/>
          <a:ext cx="1304925" cy="304800"/>
        </a:xfrm>
        <a:prstGeom prst="rect">
          <a:avLst/>
        </a:prstGeom>
        <a:noFill/>
        <a:ln w="9525" cmpd="sng">
          <a:noFill/>
        </a:ln>
      </xdr:spPr>
    </xdr:pic>
    <xdr:clientData/>
  </xdr:twoCellAnchor>
  <xdr:twoCellAnchor editAs="oneCell">
    <xdr:from>
      <xdr:col>1</xdr:col>
      <xdr:colOff>1143000</xdr:colOff>
      <xdr:row>1</xdr:row>
      <xdr:rowOff>895350</xdr:rowOff>
    </xdr:from>
    <xdr:to>
      <xdr:col>3</xdr:col>
      <xdr:colOff>438150</xdr:colOff>
      <xdr:row>3</xdr:row>
      <xdr:rowOff>9525</xdr:rowOff>
    </xdr:to>
    <xdr:pic>
      <xdr:nvPicPr>
        <xdr:cNvPr id="2" name="Image 1"/>
        <xdr:cNvPicPr preferRelativeResize="1">
          <a:picLocks noChangeAspect="1"/>
        </xdr:cNvPicPr>
      </xdr:nvPicPr>
      <xdr:blipFill>
        <a:blip r:embed="rId4"/>
        <a:stretch>
          <a:fillRect/>
        </a:stretch>
      </xdr:blipFill>
      <xdr:spPr>
        <a:xfrm>
          <a:off x="1552575" y="1066800"/>
          <a:ext cx="2543175" cy="390525"/>
        </a:xfrm>
        <a:prstGeom prst="rect">
          <a:avLst/>
        </a:prstGeom>
        <a:noFill/>
        <a:ln w="9525" cmpd="sng">
          <a:noFill/>
        </a:ln>
      </xdr:spPr>
    </xdr:pic>
    <xdr:clientData/>
  </xdr:twoCellAnchor>
  <xdr:twoCellAnchor editAs="oneCell">
    <xdr:from>
      <xdr:col>1</xdr:col>
      <xdr:colOff>1123950</xdr:colOff>
      <xdr:row>1</xdr:row>
      <xdr:rowOff>581025</xdr:rowOff>
    </xdr:from>
    <xdr:to>
      <xdr:col>3</xdr:col>
      <xdr:colOff>533400</xdr:colOff>
      <xdr:row>1</xdr:row>
      <xdr:rowOff>895350</xdr:rowOff>
    </xdr:to>
    <xdr:pic>
      <xdr:nvPicPr>
        <xdr:cNvPr id="3" name="Image 1">
          <a:hlinkClick r:id="rId7"/>
        </xdr:cNvPr>
        <xdr:cNvPicPr preferRelativeResize="1">
          <a:picLocks noChangeAspect="1"/>
        </xdr:cNvPicPr>
      </xdr:nvPicPr>
      <xdr:blipFill>
        <a:blip r:embed="rId5"/>
        <a:stretch>
          <a:fillRect/>
        </a:stretch>
      </xdr:blipFill>
      <xdr:spPr>
        <a:xfrm>
          <a:off x="1533525" y="752475"/>
          <a:ext cx="26574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48"/>
  <sheetViews>
    <sheetView showGridLines="0" showRowColHeaders="0" tabSelected="1" zoomScale="85" zoomScaleNormal="85" zoomScalePageLayoutView="0" workbookViewId="0" topLeftCell="A1">
      <selection activeCell="C8" sqref="C8"/>
    </sheetView>
  </sheetViews>
  <sheetFormatPr defaultColWidth="11.421875" defaultRowHeight="12.75"/>
  <cols>
    <col min="1" max="1" width="6.140625" style="1" customWidth="1"/>
    <col min="2" max="2" width="32.57421875" style="1" customWidth="1"/>
    <col min="3" max="3" width="16.140625" style="1" bestFit="1" customWidth="1"/>
    <col min="4" max="4" width="23.8515625" style="1" customWidth="1"/>
    <col min="5" max="5" width="57.140625" style="1" customWidth="1"/>
    <col min="6" max="7" width="36.28125" style="1" hidden="1" customWidth="1"/>
    <col min="8" max="8" width="12.28125" style="1" customWidth="1"/>
    <col min="9" max="9" width="11.421875" style="1" customWidth="1"/>
    <col min="10" max="16384" width="11.421875" style="1" customWidth="1"/>
  </cols>
  <sheetData>
    <row r="1" ht="13.5" customHeight="1">
      <c r="D1" s="28" t="s">
        <v>27</v>
      </c>
    </row>
    <row r="2" ht="78.75" customHeight="1">
      <c r="D2" s="27" t="s">
        <v>29</v>
      </c>
    </row>
    <row r="3" spans="2:4" ht="21.75" customHeight="1">
      <c r="B3" s="31"/>
      <c r="C3" s="31"/>
      <c r="D3" s="31"/>
    </row>
    <row r="4" spans="2:4" ht="45.75" customHeight="1">
      <c r="B4" s="32" t="s">
        <v>28</v>
      </c>
      <c r="C4" s="32"/>
      <c r="D4" s="32"/>
    </row>
    <row r="5" spans="2:6" ht="12" customHeight="1">
      <c r="B5" s="8"/>
      <c r="C5" s="8"/>
      <c r="D5" s="3"/>
      <c r="E5" s="3"/>
      <c r="F5" s="3"/>
    </row>
    <row r="6" spans="2:6" ht="19.5" customHeight="1">
      <c r="B6" s="29" t="s">
        <v>9</v>
      </c>
      <c r="C6" s="29"/>
      <c r="D6" s="29"/>
      <c r="E6" s="3"/>
      <c r="F6" s="3"/>
    </row>
    <row r="7" spans="2:6" ht="15" customHeight="1" thickBot="1">
      <c r="B7" s="10"/>
      <c r="C7" s="10"/>
      <c r="D7" s="16"/>
      <c r="E7" s="3"/>
      <c r="F7" s="3"/>
    </row>
    <row r="8" spans="2:6" ht="14.25" thickBot="1" thickTop="1">
      <c r="B8" s="11" t="s">
        <v>8</v>
      </c>
      <c r="C8" s="7"/>
      <c r="D8" s="16"/>
      <c r="E8" s="3"/>
      <c r="F8" s="3"/>
    </row>
    <row r="9" spans="2:6" ht="7.5" customHeight="1" thickBot="1" thickTop="1">
      <c r="B9" s="11"/>
      <c r="C9" s="12"/>
      <c r="D9" s="16"/>
      <c r="E9" s="3"/>
      <c r="F9" s="3"/>
    </row>
    <row r="10" spans="2:6" ht="14.25" thickBot="1" thickTop="1">
      <c r="B10" s="11" t="s">
        <v>6</v>
      </c>
      <c r="C10" s="22"/>
      <c r="D10" s="16"/>
      <c r="E10" s="3"/>
      <c r="F10" s="3"/>
    </row>
    <row r="11" spans="2:6" ht="13.5" thickTop="1">
      <c r="B11" s="11"/>
      <c r="C11" s="13"/>
      <c r="D11" s="16"/>
      <c r="E11" s="3"/>
      <c r="F11" s="3"/>
    </row>
    <row r="12" spans="2:7" ht="12.75">
      <c r="B12" s="11" t="s">
        <v>26</v>
      </c>
      <c r="C12" s="16"/>
      <c r="D12" s="16"/>
      <c r="E12" s="3"/>
      <c r="F12" s="25" t="b">
        <v>0</v>
      </c>
      <c r="G12" s="1">
        <f>IF(F12=TRUE,1.2,1)</f>
        <v>1</v>
      </c>
    </row>
    <row r="13" spans="2:6" ht="13.5" thickBot="1">
      <c r="B13" s="11"/>
      <c r="C13" s="13"/>
      <c r="D13" s="16"/>
      <c r="E13" s="3"/>
      <c r="F13" s="3"/>
    </row>
    <row r="14" spans="2:6" ht="14.25" thickBot="1" thickTop="1">
      <c r="B14" s="11" t="s">
        <v>7</v>
      </c>
      <c r="C14" s="2">
        <f>SUM(I35:I39)*G12</f>
        <v>0</v>
      </c>
      <c r="D14" s="16"/>
      <c r="E14" s="3"/>
      <c r="F14" s="3"/>
    </row>
    <row r="15" spans="2:6" ht="13.5" thickTop="1">
      <c r="B15" s="11"/>
      <c r="C15" s="16"/>
      <c r="D15" s="16"/>
      <c r="E15" s="3"/>
      <c r="F15" s="3"/>
    </row>
    <row r="16" spans="2:6" ht="24" customHeight="1">
      <c r="B16" s="35">
        <f>IF(AND(G12=1.2,OR(C8="4 CV",C8="5 CV",C8="6 CV",C8="7 CV ET PLUS")),CONCATENATE("Attention : majoration de 20 %. Nous vous recommandons de bien vous assurer que le véhicule de ",C8," est effectivement électrique"),"")</f>
      </c>
      <c r="C16" s="35"/>
      <c r="D16" s="35"/>
      <c r="E16" s="3"/>
      <c r="F16" s="3"/>
    </row>
    <row r="18" spans="2:4" ht="64.5" customHeight="1">
      <c r="B18" s="34" t="s">
        <v>25</v>
      </c>
      <c r="C18" s="34"/>
      <c r="D18" s="34"/>
    </row>
    <row r="19" ht="37.5" customHeight="1"/>
    <row r="20" spans="2:4" ht="30.75" customHeight="1">
      <c r="B20" s="30" t="s">
        <v>17</v>
      </c>
      <c r="C20" s="30"/>
      <c r="D20" s="30"/>
    </row>
    <row r="21" spans="2:4" ht="13.5" thickBot="1">
      <c r="B21" s="10"/>
      <c r="C21" s="10"/>
      <c r="D21" s="10"/>
    </row>
    <row r="22" spans="2:4" ht="14.25" thickBot="1" thickTop="1">
      <c r="B22" s="11" t="s">
        <v>16</v>
      </c>
      <c r="C22" s="17"/>
      <c r="D22" s="10"/>
    </row>
    <row r="23" spans="2:4" ht="14.25" thickBot="1" thickTop="1">
      <c r="B23" s="14"/>
      <c r="C23" s="15"/>
      <c r="D23" s="10"/>
    </row>
    <row r="24" spans="2:4" ht="14.25" thickBot="1" thickTop="1">
      <c r="B24" s="11" t="s">
        <v>6</v>
      </c>
      <c r="C24" s="23"/>
      <c r="D24" s="10"/>
    </row>
    <row r="25" spans="2:4" ht="13.5" thickTop="1">
      <c r="B25" s="11"/>
      <c r="C25" s="15"/>
      <c r="D25" s="10"/>
    </row>
    <row r="26" spans="2:7" ht="12.75">
      <c r="B26" s="11" t="s">
        <v>26</v>
      </c>
      <c r="C26" s="15"/>
      <c r="D26" s="10"/>
      <c r="F26" s="26" t="b">
        <v>0</v>
      </c>
      <c r="G26" s="1">
        <f>IF(F26=TRUE,1.2,1)</f>
        <v>1</v>
      </c>
    </row>
    <row r="27" spans="2:4" ht="13.5" thickBot="1">
      <c r="B27" s="11"/>
      <c r="C27" s="15"/>
      <c r="D27" s="10"/>
    </row>
    <row r="28" spans="2:4" ht="14.25" thickBot="1" thickTop="1">
      <c r="B28" s="11" t="s">
        <v>7</v>
      </c>
      <c r="C28" s="18">
        <f>(I43+I46+I47+I48)*G26</f>
        <v>0</v>
      </c>
      <c r="D28" s="10"/>
    </row>
    <row r="29" spans="2:4" ht="13.5" thickTop="1">
      <c r="B29" s="11"/>
      <c r="C29" s="24"/>
      <c r="D29" s="10"/>
    </row>
    <row r="30" spans="2:4" ht="23.25" customHeight="1">
      <c r="B30" s="36">
        <f>IF(AND(G26=1.2,OR(C22="3, 4 ou 5 CV",C22="6 CV ou plus")),CONCATENATE("Attention : majoration de 20 %, Nous vous recommandons de bien vous assurer que le véhicule de ",C22," est effectivement électrique"),"")</f>
      </c>
      <c r="C30" s="36"/>
      <c r="D30" s="36"/>
    </row>
    <row r="31" spans="2:3" ht="12.75">
      <c r="B31" s="5"/>
      <c r="C31" s="5"/>
    </row>
    <row r="32" spans="2:8" ht="58.5" customHeight="1">
      <c r="B32" s="33" t="s">
        <v>18</v>
      </c>
      <c r="C32" s="33"/>
      <c r="D32" s="33"/>
      <c r="E32" s="4"/>
      <c r="F32" s="4"/>
      <c r="G32" s="4"/>
      <c r="H32" s="4"/>
    </row>
    <row r="34" spans="2:6" ht="12.75" hidden="1">
      <c r="B34" s="1" t="s">
        <v>0</v>
      </c>
      <c r="C34" s="1" t="s">
        <v>21</v>
      </c>
      <c r="D34" s="1" t="s">
        <v>22</v>
      </c>
      <c r="E34" s="1" t="s">
        <v>23</v>
      </c>
      <c r="F34" s="1" t="s">
        <v>1</v>
      </c>
    </row>
    <row r="35" spans="2:9" ht="14.25" hidden="1">
      <c r="B35" s="1" t="s">
        <v>5</v>
      </c>
      <c r="C35" s="20">
        <f>C10*0.529</f>
        <v>0</v>
      </c>
      <c r="D35" s="20">
        <f>(C10*0.316)+1065</f>
        <v>1065</v>
      </c>
      <c r="E35" s="21">
        <f>C10*0.37</f>
        <v>0</v>
      </c>
      <c r="F35" s="1">
        <f>IF($C$10&lt;=5000,C35,0)</f>
        <v>0</v>
      </c>
      <c r="G35" s="1">
        <f>IF(AND($C$10&gt;5000,$C$10&lt;=20000),D35,0)</f>
        <v>0</v>
      </c>
      <c r="H35" s="1">
        <f>IF($C$10&gt;20000,E35,0)</f>
        <v>0</v>
      </c>
      <c r="I35" s="1">
        <f>IF($C$8="3 CV et moins",F35+G35+H35,0)</f>
        <v>0</v>
      </c>
    </row>
    <row r="36" spans="2:9" ht="14.25" hidden="1">
      <c r="B36" s="1" t="s">
        <v>2</v>
      </c>
      <c r="C36" s="20">
        <f>C10*0.606</f>
        <v>0</v>
      </c>
      <c r="D36" s="20">
        <f>(C10*0.34)+1330</f>
        <v>1330</v>
      </c>
      <c r="E36" s="21">
        <f>C10*0.407</f>
        <v>0</v>
      </c>
      <c r="F36" s="1">
        <f>IF($C$10&lt;=5000,C36,0)</f>
        <v>0</v>
      </c>
      <c r="G36" s="1">
        <f>IF(AND($C$10&gt;5000,$C$10&lt;=20000),D36,0)</f>
        <v>0</v>
      </c>
      <c r="H36" s="1">
        <f>IF($C$10&gt;20000,E36,0)</f>
        <v>0</v>
      </c>
      <c r="I36" s="1">
        <f>IF($C$8="4 CV",F36+G36+H36,0)</f>
        <v>0</v>
      </c>
    </row>
    <row r="37" spans="2:9" ht="14.25" hidden="1">
      <c r="B37" s="1" t="s">
        <v>3</v>
      </c>
      <c r="C37" s="20">
        <f>C10*0.636</f>
        <v>0</v>
      </c>
      <c r="D37" s="20">
        <f>(C10*0.357)+1395</f>
        <v>1395</v>
      </c>
      <c r="E37" s="21">
        <f>C10*0.427</f>
        <v>0</v>
      </c>
      <c r="F37" s="1">
        <f>IF($C$10&lt;=5000,C37,0)</f>
        <v>0</v>
      </c>
      <c r="G37" s="1">
        <f>IF(AND($C$10&gt;5000,$C$10&lt;=20000),D37,0)</f>
        <v>0</v>
      </c>
      <c r="H37" s="1">
        <f>IF($C$10&gt;20000,E37,0)</f>
        <v>0</v>
      </c>
      <c r="I37" s="1">
        <f>IF($C$8="5 CV",F37+G37+H37,0)</f>
        <v>0</v>
      </c>
    </row>
    <row r="38" spans="2:9" ht="14.25" hidden="1">
      <c r="B38" s="1" t="s">
        <v>4</v>
      </c>
      <c r="C38" s="20">
        <f>C10*0.665</f>
        <v>0</v>
      </c>
      <c r="D38" s="20">
        <f>(C10*0.374)+1457</f>
        <v>1457</v>
      </c>
      <c r="E38" s="21">
        <f>C10*0.447</f>
        <v>0</v>
      </c>
      <c r="F38" s="1">
        <f>IF($C$10&lt;=5000,C38,0)</f>
        <v>0</v>
      </c>
      <c r="G38" s="1">
        <f>IF(AND($C$10&gt;5000,$C$10&lt;=20000),D38,0)</f>
        <v>0</v>
      </c>
      <c r="H38" s="1">
        <f>IF($C$10&gt;20000,E38,0)</f>
        <v>0</v>
      </c>
      <c r="I38" s="1">
        <f>IF($C$8="6 CV",F38+G38+H38,0)</f>
        <v>0</v>
      </c>
    </row>
    <row r="39" spans="2:9" ht="14.25" hidden="1">
      <c r="B39" s="1" t="s">
        <v>20</v>
      </c>
      <c r="C39" s="20">
        <f>C10*0.697</f>
        <v>0</v>
      </c>
      <c r="D39" s="20">
        <f>(C10*0.394)+1515</f>
        <v>1515</v>
      </c>
      <c r="E39" s="21">
        <f>C10*0.47</f>
        <v>0</v>
      </c>
      <c r="F39" s="1">
        <f>IF($C$10&lt;=5000,C39,0)</f>
        <v>0</v>
      </c>
      <c r="G39" s="1">
        <f>IF(AND($C$10&gt;5000,$C$10&lt;=20000),D39,0)</f>
        <v>0</v>
      </c>
      <c r="H39" s="1">
        <f>IF($C$10&gt;20000,E39,0)</f>
        <v>0</v>
      </c>
      <c r="I39" s="1">
        <f>IF($C$8="7 CV et plus",F39+G39+H39,0)</f>
        <v>0</v>
      </c>
    </row>
    <row r="40" ht="12.75" hidden="1"/>
    <row r="41" ht="12.75" hidden="1"/>
    <row r="42" spans="3:5" ht="12.75" hidden="1">
      <c r="C42" s="19" t="s">
        <v>11</v>
      </c>
      <c r="D42" s="19" t="s">
        <v>12</v>
      </c>
      <c r="E42" s="19" t="s">
        <v>13</v>
      </c>
    </row>
    <row r="43" spans="2:9" ht="15" hidden="1">
      <c r="B43" s="1" t="s">
        <v>19</v>
      </c>
      <c r="C43" s="6">
        <f>C24*0.315</f>
        <v>0</v>
      </c>
      <c r="D43" s="6">
        <f>(C24*0.079)+711</f>
        <v>711</v>
      </c>
      <c r="E43" s="6">
        <f>C24*0.198</f>
        <v>0</v>
      </c>
      <c r="F43" s="1">
        <f>IF($C$24&lt;=3000,C43,0)</f>
        <v>0</v>
      </c>
      <c r="G43" s="1">
        <f>IF(AND($C$24&gt;3000,$C$24&lt;6000),D43,0)</f>
        <v>0</v>
      </c>
      <c r="H43" s="1">
        <f>IF($C$24&gt;6000,E43,0)</f>
        <v>0</v>
      </c>
      <c r="I43" s="1">
        <f>IF(C22=B43,F43+G43+H43,0)</f>
        <v>0</v>
      </c>
    </row>
    <row r="44" ht="12.75" hidden="1"/>
    <row r="45" spans="2:6" ht="12.75" hidden="1">
      <c r="B45" s="1" t="s">
        <v>10</v>
      </c>
      <c r="C45" s="1" t="s">
        <v>11</v>
      </c>
      <c r="D45" s="1" t="s">
        <v>12</v>
      </c>
      <c r="E45" s="1" t="s">
        <v>13</v>
      </c>
      <c r="F45" s="1" t="s">
        <v>1</v>
      </c>
    </row>
    <row r="46" spans="2:9" ht="15" hidden="1">
      <c r="B46" s="1" t="s">
        <v>14</v>
      </c>
      <c r="C46" s="9">
        <f>C24*0.395</f>
        <v>0</v>
      </c>
      <c r="D46" s="9">
        <f>(C24*0.099)+891</f>
        <v>891</v>
      </c>
      <c r="E46" s="9">
        <f>C24*0.248</f>
        <v>0</v>
      </c>
      <c r="F46" s="1">
        <f>IF($C$24&lt;=3000,C46,0)</f>
        <v>0</v>
      </c>
      <c r="G46" s="1">
        <f>IF(AND($C$24&gt;3000,$C$24&lt;6000),D46,0)</f>
        <v>0</v>
      </c>
      <c r="H46" s="1">
        <f>IF($C$24&gt;6000,E46,0)</f>
        <v>0</v>
      </c>
      <c r="I46" s="1">
        <f>IF($C$22=B46,F46+G46+H46,0)</f>
        <v>0</v>
      </c>
    </row>
    <row r="47" spans="2:9" ht="15" hidden="1">
      <c r="B47" s="1" t="s">
        <v>15</v>
      </c>
      <c r="C47" s="9">
        <f>C24*0.468</f>
        <v>0</v>
      </c>
      <c r="D47" s="9">
        <f>(C24*0.082)+1158</f>
        <v>1158</v>
      </c>
      <c r="E47" s="9">
        <f>C24*0.275</f>
        <v>0</v>
      </c>
      <c r="F47" s="1">
        <f>IF($C$24&lt;=3000,C47,0)</f>
        <v>0</v>
      </c>
      <c r="G47" s="1">
        <f>IF(AND($C$24&gt;3000,$C$24&lt;6000),D47,0)</f>
        <v>0</v>
      </c>
      <c r="H47" s="1">
        <f>IF($C$24&gt;6000,E47,0)</f>
        <v>0</v>
      </c>
      <c r="I47" s="1">
        <f>IF($C$22=B47,F47+G47+H47,0)</f>
        <v>0</v>
      </c>
    </row>
    <row r="48" spans="2:9" ht="15" hidden="1">
      <c r="B48" s="19" t="s">
        <v>24</v>
      </c>
      <c r="C48" s="9">
        <f>C24*0.606</f>
        <v>0</v>
      </c>
      <c r="D48" s="9">
        <f>(C24*0.079)+1583</f>
        <v>1583</v>
      </c>
      <c r="E48" s="9">
        <f>C24*0.343</f>
        <v>0</v>
      </c>
      <c r="F48" s="1">
        <f>IF($C$24&lt;=3000,C48,0)</f>
        <v>0</v>
      </c>
      <c r="G48" s="1">
        <f>IF(AND($C$24&gt;3000,$C$24&lt;6000),D48,0)</f>
        <v>0</v>
      </c>
      <c r="H48" s="1">
        <f>IF($C$24&gt;6000,E48,0)</f>
        <v>0</v>
      </c>
      <c r="I48" s="1">
        <f>IF($C$22=B48,F48+G48+H48,0)</f>
        <v>0</v>
      </c>
    </row>
    <row r="49" ht="12.75" hidden="1"/>
    <row r="50" ht="12.75" hidden="1"/>
    <row r="51" ht="12.75" hidden="1"/>
  </sheetData>
  <sheetProtection password="E7FD" sheet="1" objects="1" selectLockedCells="1"/>
  <mergeCells count="8">
    <mergeCell ref="B6:D6"/>
    <mergeCell ref="B20:D20"/>
    <mergeCell ref="B3:D3"/>
    <mergeCell ref="B4:D4"/>
    <mergeCell ref="B32:D32"/>
    <mergeCell ref="B18:D18"/>
    <mergeCell ref="B16:D16"/>
    <mergeCell ref="B30:D30"/>
  </mergeCells>
  <conditionalFormatting sqref="C28:C29 C14">
    <cfRule type="cellIs" priority="1" dxfId="0" operator="equal" stopIfTrue="1">
      <formula>0</formula>
    </cfRule>
  </conditionalFormatting>
  <dataValidations count="4">
    <dataValidation type="list" allowBlank="1" showInputMessage="1" showErrorMessage="1" errorTitle="Message VigiPL" error="Vous devez choisir une puissance dans la liste." sqref="C8">
      <formula1>"3 CV et moins,4 CV,5 CV,6 CV,7 CV et plus,"</formula1>
    </dataValidation>
    <dataValidation type="list" allowBlank="1" showInputMessage="1" showErrorMessage="1" errorTitle="Message VigiPL" error="Vous devez choisir une puissance dans la liste." sqref="C22">
      <formula1>"Cyclomoteur*,1 ou 2 CV,3, 4 ou 5 CV,6 CV et plus,"</formula1>
    </dataValidation>
    <dataValidation type="whole" allowBlank="1" showInputMessage="1" showErrorMessage="1" errorTitle="Message VigiPL" error="Insérez un nombre compris entre 0 et 10000000" sqref="C10">
      <formula1>0</formula1>
      <formula2>10000000000</formula2>
    </dataValidation>
    <dataValidation type="whole" allowBlank="1" showInputMessage="1" showErrorMessage="1" errorTitle="Message VigiPL" error="Insérez un nombre compris entre 0 et 10000000" sqref="C24">
      <formula1>0</formula1>
      <formula2>1000000000000</formula2>
    </dataValidation>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Famille DURAND</dc:creator>
  <cp:keywords/>
  <dc:description/>
  <cp:lastModifiedBy>Silvain Durand</cp:lastModifiedBy>
  <dcterms:created xsi:type="dcterms:W3CDTF">2008-02-22T10:19:33Z</dcterms:created>
  <dcterms:modified xsi:type="dcterms:W3CDTF">2023-04-07T03:29:11Z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